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ECTRUM\Desktop\"/>
    </mc:Choice>
  </mc:AlternateContent>
  <bookViews>
    <workbookView xWindow="0" yWindow="0" windowWidth="25125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7" i="1"/>
  <c r="D10" i="1"/>
  <c r="I8" i="1"/>
  <c r="I11" i="1" s="1"/>
  <c r="I9" i="1"/>
  <c r="I54" i="1"/>
  <c r="I45" i="1"/>
  <c r="I44" i="1"/>
  <c r="I43" i="1"/>
  <c r="I42" i="1" s="1"/>
  <c r="K42" i="1" s="1"/>
  <c r="I38" i="1"/>
  <c r="K38" i="1" s="1"/>
  <c r="I36" i="1"/>
  <c r="I35" i="1"/>
  <c r="I30" i="1"/>
  <c r="I31" i="1" s="1"/>
  <c r="I29" i="1"/>
  <c r="I20" i="1"/>
  <c r="I22" i="1" s="1"/>
  <c r="I13" i="1"/>
  <c r="K13" i="1" s="1"/>
  <c r="D54" i="1"/>
  <c r="D45" i="1"/>
  <c r="D44" i="1"/>
  <c r="D43" i="1"/>
  <c r="D42" i="1" s="1"/>
  <c r="D38" i="1"/>
  <c r="F38" i="1" s="1"/>
  <c r="D36" i="1"/>
  <c r="D35" i="1" s="1"/>
  <c r="D29" i="1"/>
  <c r="D30" i="1" s="1"/>
  <c r="D31" i="1" s="1"/>
  <c r="D20" i="1"/>
  <c r="D22" i="1" s="1"/>
  <c r="F13" i="1"/>
  <c r="D11" i="1"/>
  <c r="I10" i="1" l="1"/>
  <c r="K10" i="1" s="1"/>
  <c r="I15" i="1"/>
  <c r="K15" i="1" s="1"/>
  <c r="I16" i="1" s="1"/>
  <c r="I47" i="1"/>
  <c r="K47" i="1" s="1"/>
  <c r="F42" i="1"/>
  <c r="D47" i="1"/>
  <c r="F10" i="1"/>
  <c r="D15" i="1"/>
  <c r="F15" i="1" s="1"/>
  <c r="D16" i="1" s="1"/>
  <c r="I50" i="1" l="1"/>
  <c r="F47" i="1"/>
  <c r="D50" i="1"/>
</calcChain>
</file>

<file path=xl/sharedStrings.xml><?xml version="1.0" encoding="utf-8"?>
<sst xmlns="http://schemas.openxmlformats.org/spreadsheetml/2006/main" count="192" uniqueCount="98">
  <si>
    <t>(a) La charge résultante sur chaque boulon</t>
  </si>
  <si>
    <t>(b) La contrainte de cisaillement maximale dans chaque boulon</t>
  </si>
  <si>
    <t>(c) La contrainte d'appui maximale</t>
  </si>
  <si>
    <t>(d) La contrainte de flexion critique dans la barre</t>
  </si>
  <si>
    <t>Une barre d'acier rectangulaire de 15 x 200 mm en porte-à-faux à un profilé en acier de 250 mm à l'aide de quatre boulons bien ajustés situés en A, B, C et D. Pour une charge de F = 16 kN, trouver :</t>
  </si>
  <si>
    <t>Analyse statique du modèle étudié:</t>
  </si>
  <si>
    <t xml:space="preserve">Le point O, le centre de gravité du groupe de boulons, est trouvé par symétrie. </t>
  </si>
  <si>
    <t>Si un diagramme de corps libre de la poutre a été construit, le cisaillement</t>
  </si>
  <si>
    <t>la réaction V passeront par O et au moment où les réactions M passeront</t>
  </si>
  <si>
    <t xml:space="preserve"> sur O. Ces réactions sont :</t>
  </si>
  <si>
    <t>Rappel sur la distribution des efforts:</t>
  </si>
  <si>
    <t>Paramétrage du problème (dimensionnement)</t>
  </si>
  <si>
    <t>Effort mécanique orienté Axe Y</t>
  </si>
  <si>
    <t>F</t>
  </si>
  <si>
    <t>unités</t>
  </si>
  <si>
    <t>N</t>
  </si>
  <si>
    <t>Bras de levier /Centre de gravité O</t>
  </si>
  <si>
    <t>d</t>
  </si>
  <si>
    <t>Pas de la matrice Axe X</t>
  </si>
  <si>
    <t>Pas de la matrice Axe Y</t>
  </si>
  <si>
    <t>Xp</t>
  </si>
  <si>
    <t>Yp</t>
  </si>
  <si>
    <t>mm</t>
  </si>
  <si>
    <t xml:space="preserve">Calcul du moment </t>
  </si>
  <si>
    <t>M</t>
  </si>
  <si>
    <t>N.mm</t>
  </si>
  <si>
    <t>KN.mm</t>
  </si>
  <si>
    <t>Calcul du rayon (Axe de la vis/ point O)</t>
  </si>
  <si>
    <t>r</t>
  </si>
  <si>
    <t>(relation Pythagore)</t>
  </si>
  <si>
    <t xml:space="preserve">La charge de cisaillement primaire </t>
  </si>
  <si>
    <t>Tau</t>
  </si>
  <si>
    <t>Nombre de boulons</t>
  </si>
  <si>
    <t>Nb</t>
  </si>
  <si>
    <t>KN</t>
  </si>
  <si>
    <t>La charge de cisaillement primaire</t>
  </si>
  <si>
    <t>Tau'</t>
  </si>
  <si>
    <t>Les boulons A et B sont critiques car ils supportent le plus grand cisaillement chargé. Ce cisaillement agit-il sur la partie filetée du boulon, ou sur</t>
  </si>
  <si>
    <t xml:space="preserve">Noyau de la vis </t>
  </si>
  <si>
    <t>Vis utilisée pour l'assemblage</t>
  </si>
  <si>
    <t>d3</t>
  </si>
  <si>
    <t>Pas de la vis</t>
  </si>
  <si>
    <t>pas</t>
  </si>
  <si>
    <t>Section cisaillée</t>
  </si>
  <si>
    <t>Sc</t>
  </si>
  <si>
    <t>mm²</t>
  </si>
  <si>
    <t>Effort Résultant Fa</t>
  </si>
  <si>
    <t>Fa</t>
  </si>
  <si>
    <t>Nok</t>
  </si>
  <si>
    <t>par méthode parallélogramme CAO Solidworks</t>
  </si>
  <si>
    <t>Fc</t>
  </si>
  <si>
    <t>la contrainte est due à la pression du boulon</t>
  </si>
  <si>
    <t xml:space="preserve"> contre l'âme du canal. Le la surface d'appui est </t>
  </si>
  <si>
    <t>Ab = td = 10(16) = 160 mm²</t>
  </si>
  <si>
    <t>Epaisseur de l'ame</t>
  </si>
  <si>
    <t>diamètre de l'alésage</t>
  </si>
  <si>
    <t>t</t>
  </si>
  <si>
    <t>da</t>
  </si>
  <si>
    <t>Scc</t>
  </si>
  <si>
    <t xml:space="preserve">Sigma </t>
  </si>
  <si>
    <t>σ</t>
  </si>
  <si>
    <t>Section comprimée(-)</t>
  </si>
  <si>
    <t>N/mm²</t>
  </si>
  <si>
    <t xml:space="preserve">La contrainte de flexion critique dans la barre est </t>
  </si>
  <si>
    <t xml:space="preserve">supposée se produire dans un section parallèle </t>
  </si>
  <si>
    <t>à l'axe y et passant par les boulons A et B.</t>
  </si>
  <si>
    <t xml:space="preserve"> le moment fléchissant est</t>
  </si>
  <si>
    <t>Mf</t>
  </si>
  <si>
    <t>Bras de levier / vis A et B</t>
  </si>
  <si>
    <t>bl</t>
  </si>
  <si>
    <t xml:space="preserve">mm </t>
  </si>
  <si>
    <t>Validation par simulation</t>
  </si>
  <si>
    <t>Inertie de la barre</t>
  </si>
  <si>
    <t>base</t>
  </si>
  <si>
    <t>b</t>
  </si>
  <si>
    <t>hauteur</t>
  </si>
  <si>
    <t>h</t>
  </si>
  <si>
    <t>mm^4</t>
  </si>
  <si>
    <t>cm^4</t>
  </si>
  <si>
    <t>Inertie creuse des alésage</t>
  </si>
  <si>
    <t>Ib</t>
  </si>
  <si>
    <t>Ia</t>
  </si>
  <si>
    <t>Distance position Vis / cdg</t>
  </si>
  <si>
    <t>Inertie globale</t>
  </si>
  <si>
    <t>Ig</t>
  </si>
  <si>
    <t>Ici, le moment autour de l'axe neutre est M, la distance perpendiculaire de la fibre la plus externe à l'axe neutre est c, et le moment d'inertie est I.</t>
  </si>
  <si>
    <t>Déterminons c</t>
  </si>
  <si>
    <t>Après avoir calculé l'emplacement de l'axe neutre</t>
  </si>
  <si>
    <t xml:space="preserve"> à partir du bas de la poutre, la valeur de c peut </t>
  </si>
  <si>
    <t>être calculée en soustrayant l'emplacement de</t>
  </si>
  <si>
    <t xml:space="preserve"> l'axe neutre de la hauteur totale de la poutre. </t>
  </si>
  <si>
    <t xml:space="preserve">Ici, la valeur de c est la distance maximale entre </t>
  </si>
  <si>
    <t>l'axe neutre et la fibre la plus à l'extérieur du</t>
  </si>
  <si>
    <t xml:space="preserve"> faisceau. Si l'emplacement de l'axe neutre est </t>
  </si>
  <si>
    <t>calculé à partir du haut de la poutre, il est alors</t>
  </si>
  <si>
    <t xml:space="preserve"> égal à c à la place.</t>
  </si>
  <si>
    <t>c</t>
  </si>
  <si>
    <t>Prédimensionnement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</si>
</sst>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color theme="1"/>
      <name val="Arial Unicode MS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10</xdr:row>
      <xdr:rowOff>66674</xdr:rowOff>
    </xdr:from>
    <xdr:to>
      <xdr:col>0</xdr:col>
      <xdr:colOff>4560483</xdr:colOff>
      <xdr:row>25</xdr:row>
      <xdr:rowOff>57149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66949"/>
          <a:ext cx="4331883" cy="3419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428625</xdr:colOff>
      <xdr:row>4</xdr:row>
      <xdr:rowOff>123825</xdr:rowOff>
    </xdr:from>
    <xdr:to>
      <xdr:col>20</xdr:col>
      <xdr:colOff>446910</xdr:colOff>
      <xdr:row>26</xdr:row>
      <xdr:rowOff>141980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6500" y="1181100"/>
          <a:ext cx="4895085" cy="4780655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27</xdr:row>
      <xdr:rowOff>171450</xdr:rowOff>
    </xdr:from>
    <xdr:to>
      <xdr:col>26</xdr:col>
      <xdr:colOff>341795</xdr:colOff>
      <xdr:row>64</xdr:row>
      <xdr:rowOff>27675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25325" y="6181725"/>
          <a:ext cx="8838095" cy="72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47625</xdr:rowOff>
    </xdr:from>
    <xdr:to>
      <xdr:col>0</xdr:col>
      <xdr:colOff>4678025</xdr:colOff>
      <xdr:row>53</xdr:row>
      <xdr:rowOff>65770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581900"/>
          <a:ext cx="4678025" cy="374242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67</xdr:row>
      <xdr:rowOff>85043</xdr:rowOff>
    </xdr:from>
    <xdr:to>
      <xdr:col>6</xdr:col>
      <xdr:colOff>476250</xdr:colOff>
      <xdr:row>92</xdr:row>
      <xdr:rowOff>142874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14010593"/>
          <a:ext cx="5915025" cy="4820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114766</xdr:colOff>
      <xdr:row>93</xdr:row>
      <xdr:rowOff>95250</xdr:rowOff>
    </xdr:from>
    <xdr:to>
      <xdr:col>6</xdr:col>
      <xdr:colOff>552449</xdr:colOff>
      <xdr:row>112</xdr:row>
      <xdr:rowOff>76200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841" y="18973800"/>
          <a:ext cx="5905033" cy="360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942975</xdr:colOff>
      <xdr:row>47</xdr:row>
      <xdr:rowOff>85725</xdr:rowOff>
    </xdr:from>
    <xdr:to>
      <xdr:col>1</xdr:col>
      <xdr:colOff>1866900</xdr:colOff>
      <xdr:row>51</xdr:row>
      <xdr:rowOff>9525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9906000"/>
          <a:ext cx="9239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7"/>
  <sheetViews>
    <sheetView tabSelected="1" workbookViewId="0">
      <selection activeCell="I23" sqref="I23"/>
    </sheetView>
  </sheetViews>
  <sheetFormatPr defaultRowHeight="15"/>
  <cols>
    <col min="1" max="1" width="71.85546875" customWidth="1"/>
    <col min="2" max="2" width="45.42578125" customWidth="1"/>
    <col min="10" max="10" width="10.140625" customWidth="1"/>
  </cols>
  <sheetData>
    <row r="3" spans="1:13" ht="38.25">
      <c r="A3" s="2" t="s">
        <v>4</v>
      </c>
    </row>
    <row r="4" spans="1:13">
      <c r="A4" s="3"/>
      <c r="B4" s="5" t="s">
        <v>11</v>
      </c>
      <c r="H4" s="16" t="s">
        <v>97</v>
      </c>
      <c r="I4" s="16"/>
      <c r="J4" s="16"/>
      <c r="K4" s="16"/>
      <c r="M4" s="5" t="s">
        <v>5</v>
      </c>
    </row>
    <row r="5" spans="1:13">
      <c r="A5" s="3" t="s">
        <v>0</v>
      </c>
      <c r="C5" s="7"/>
      <c r="D5" s="7"/>
      <c r="E5" s="6" t="s">
        <v>14</v>
      </c>
      <c r="H5" s="7"/>
      <c r="I5" s="7"/>
      <c r="J5" s="6" t="s">
        <v>14</v>
      </c>
    </row>
    <row r="6" spans="1:13">
      <c r="A6" s="3" t="s">
        <v>1</v>
      </c>
      <c r="B6" t="s">
        <v>12</v>
      </c>
      <c r="C6" s="7" t="s">
        <v>13</v>
      </c>
      <c r="D6" s="7">
        <v>16000</v>
      </c>
      <c r="E6" s="7" t="s">
        <v>15</v>
      </c>
      <c r="H6" s="7" t="s">
        <v>13</v>
      </c>
      <c r="I6" s="7">
        <v>16000</v>
      </c>
      <c r="J6" s="7" t="s">
        <v>15</v>
      </c>
    </row>
    <row r="7" spans="1:13">
      <c r="A7" s="3" t="s">
        <v>2</v>
      </c>
      <c r="B7" t="s">
        <v>16</v>
      </c>
      <c r="C7" s="7" t="s">
        <v>17</v>
      </c>
      <c r="D7" s="7">
        <f>300+50+D8</f>
        <v>425</v>
      </c>
      <c r="E7" s="7" t="s">
        <v>22</v>
      </c>
      <c r="H7" s="7" t="s">
        <v>17</v>
      </c>
      <c r="I7" s="7">
        <v>425</v>
      </c>
      <c r="J7" s="7" t="s">
        <v>22</v>
      </c>
    </row>
    <row r="8" spans="1:13">
      <c r="A8" s="3" t="s">
        <v>3</v>
      </c>
      <c r="B8" t="s">
        <v>18</v>
      </c>
      <c r="C8" s="7" t="s">
        <v>20</v>
      </c>
      <c r="D8" s="7">
        <v>75</v>
      </c>
      <c r="E8" s="7" t="s">
        <v>22</v>
      </c>
      <c r="H8" s="7" t="s">
        <v>20</v>
      </c>
      <c r="I8" s="7">
        <f>125-(2*16)</f>
        <v>93</v>
      </c>
      <c r="J8" s="7" t="s">
        <v>22</v>
      </c>
    </row>
    <row r="9" spans="1:13">
      <c r="B9" t="s">
        <v>19</v>
      </c>
      <c r="C9" s="7" t="s">
        <v>21</v>
      </c>
      <c r="D9" s="7">
        <v>60</v>
      </c>
      <c r="E9" s="7" t="s">
        <v>22</v>
      </c>
      <c r="H9" s="7" t="s">
        <v>21</v>
      </c>
      <c r="I9" s="7">
        <f>100-(2*16)</f>
        <v>68</v>
      </c>
      <c r="J9" s="7" t="s">
        <v>22</v>
      </c>
    </row>
    <row r="10" spans="1:13">
      <c r="B10" t="s">
        <v>23</v>
      </c>
      <c r="C10" s="7" t="s">
        <v>24</v>
      </c>
      <c r="D10" s="7">
        <f>D6*D7</f>
        <v>6800000</v>
      </c>
      <c r="E10" s="7" t="s">
        <v>25</v>
      </c>
      <c r="F10">
        <f>D10/1000</f>
        <v>6800</v>
      </c>
      <c r="G10" s="7" t="s">
        <v>26</v>
      </c>
      <c r="H10" s="7" t="s">
        <v>24</v>
      </c>
      <c r="I10" s="7">
        <f>I6*I7</f>
        <v>6800000</v>
      </c>
      <c r="J10" s="7" t="s">
        <v>25</v>
      </c>
      <c r="K10">
        <f>I10/1000</f>
        <v>6800</v>
      </c>
      <c r="L10" s="7" t="s">
        <v>26</v>
      </c>
    </row>
    <row r="11" spans="1:13">
      <c r="B11" t="s">
        <v>27</v>
      </c>
      <c r="C11" s="7" t="s">
        <v>28</v>
      </c>
      <c r="D11" s="10">
        <f>(D8^2+D9^2)^0.5</f>
        <v>96.046863561492728</v>
      </c>
      <c r="E11" s="7" t="s">
        <v>22</v>
      </c>
      <c r="H11" s="7" t="s">
        <v>28</v>
      </c>
      <c r="I11" s="10">
        <f>(I8^2+I9^2)^0.5</f>
        <v>115.20850663036997</v>
      </c>
      <c r="J11" s="7" t="s">
        <v>22</v>
      </c>
    </row>
    <row r="12" spans="1:13">
      <c r="B12" s="5" t="s">
        <v>29</v>
      </c>
      <c r="C12" s="7"/>
      <c r="D12" s="7"/>
      <c r="E12" s="7"/>
      <c r="H12" s="7"/>
      <c r="I12" s="7"/>
      <c r="J12" s="7"/>
    </row>
    <row r="13" spans="1:13">
      <c r="B13" s="1" t="s">
        <v>30</v>
      </c>
      <c r="C13" s="7" t="s">
        <v>31</v>
      </c>
      <c r="D13" s="7">
        <f>D6/D14</f>
        <v>4000</v>
      </c>
      <c r="E13" s="7" t="s">
        <v>15</v>
      </c>
      <c r="F13">
        <f>D13/1000</f>
        <v>4</v>
      </c>
      <c r="G13" s="7" t="s">
        <v>34</v>
      </c>
      <c r="H13" s="7" t="s">
        <v>31</v>
      </c>
      <c r="I13" s="7">
        <f>I6/I14</f>
        <v>4000</v>
      </c>
      <c r="J13" s="7" t="s">
        <v>15</v>
      </c>
      <c r="K13">
        <f>I13/1000</f>
        <v>4</v>
      </c>
      <c r="L13" s="7" t="s">
        <v>34</v>
      </c>
    </row>
    <row r="14" spans="1:13">
      <c r="B14" t="s">
        <v>32</v>
      </c>
      <c r="C14" s="7" t="s">
        <v>33</v>
      </c>
      <c r="D14" s="7">
        <v>4</v>
      </c>
      <c r="E14" s="7"/>
      <c r="H14" s="7" t="s">
        <v>33</v>
      </c>
      <c r="I14" s="7">
        <v>4</v>
      </c>
      <c r="J14" s="7"/>
    </row>
    <row r="15" spans="1:13">
      <c r="B15" t="s">
        <v>35</v>
      </c>
      <c r="C15" s="7" t="s">
        <v>36</v>
      </c>
      <c r="D15" s="7">
        <f>(D10*D11)/(4*D11^2)</f>
        <v>17699.693014042019</v>
      </c>
      <c r="E15" s="7" t="s">
        <v>15</v>
      </c>
      <c r="F15">
        <f>D15/1000</f>
        <v>17.699693014042019</v>
      </c>
      <c r="G15" s="7" t="s">
        <v>34</v>
      </c>
      <c r="H15" s="7" t="s">
        <v>36</v>
      </c>
      <c r="I15" s="7">
        <f>(I10*I11)/(4*I11^2)</f>
        <v>14755.854838516458</v>
      </c>
      <c r="J15" s="7" t="s">
        <v>15</v>
      </c>
      <c r="K15">
        <f>I15/1000</f>
        <v>14.755854838516457</v>
      </c>
      <c r="L15" s="7" t="s">
        <v>34</v>
      </c>
    </row>
    <row r="16" spans="1:13">
      <c r="B16" t="s">
        <v>46</v>
      </c>
      <c r="C16" s="7" t="s">
        <v>47</v>
      </c>
      <c r="D16" s="7">
        <f>(F15^2+F13^2)^0.5</f>
        <v>18.146050060311413</v>
      </c>
      <c r="E16" s="11" t="s">
        <v>48</v>
      </c>
      <c r="H16" s="7" t="s">
        <v>47</v>
      </c>
      <c r="I16" s="7">
        <f>(K15^2+K13^2)^0.5</f>
        <v>15.28840253314157</v>
      </c>
      <c r="J16" s="11" t="s">
        <v>48</v>
      </c>
    </row>
    <row r="17" spans="1:10">
      <c r="B17" t="s">
        <v>49</v>
      </c>
      <c r="C17" s="12" t="s">
        <v>47</v>
      </c>
      <c r="D17" s="12">
        <v>21000</v>
      </c>
      <c r="E17" s="12" t="s">
        <v>15</v>
      </c>
      <c r="H17" s="12" t="s">
        <v>47</v>
      </c>
      <c r="I17" s="12"/>
      <c r="J17" s="12" t="s">
        <v>15</v>
      </c>
    </row>
    <row r="18" spans="1:10" ht="60">
      <c r="B18" s="8" t="s">
        <v>37</v>
      </c>
      <c r="C18" s="7"/>
      <c r="D18" s="7"/>
      <c r="E18" s="7"/>
      <c r="H18" s="7"/>
      <c r="I18" s="7"/>
      <c r="J18" s="7"/>
    </row>
    <row r="19" spans="1:10">
      <c r="B19" s="9" t="s">
        <v>39</v>
      </c>
      <c r="C19" s="7" t="s">
        <v>24</v>
      </c>
      <c r="D19" s="7">
        <v>16</v>
      </c>
      <c r="E19" s="7" t="s">
        <v>22</v>
      </c>
      <c r="H19" s="7" t="s">
        <v>24</v>
      </c>
      <c r="I19" s="7">
        <v>20</v>
      </c>
      <c r="J19" s="7" t="s">
        <v>22</v>
      </c>
    </row>
    <row r="20" spans="1:10">
      <c r="B20" t="s">
        <v>38</v>
      </c>
      <c r="C20" s="7" t="s">
        <v>40</v>
      </c>
      <c r="D20" s="10">
        <f>D19-1.2268*D21</f>
        <v>13.5464</v>
      </c>
      <c r="E20" s="7"/>
      <c r="H20" s="7" t="s">
        <v>40</v>
      </c>
      <c r="I20" s="10">
        <f>I19-1.2268*I21</f>
        <v>16.933</v>
      </c>
      <c r="J20" s="7"/>
    </row>
    <row r="21" spans="1:10">
      <c r="B21" t="s">
        <v>41</v>
      </c>
      <c r="C21" s="7" t="s">
        <v>42</v>
      </c>
      <c r="D21" s="7">
        <v>2</v>
      </c>
      <c r="E21" s="7" t="s">
        <v>22</v>
      </c>
      <c r="H21" s="7" t="s">
        <v>42</v>
      </c>
      <c r="I21" s="7">
        <v>2.5</v>
      </c>
      <c r="J21" s="7" t="s">
        <v>22</v>
      </c>
    </row>
    <row r="22" spans="1:10">
      <c r="B22" t="s">
        <v>43</v>
      </c>
      <c r="C22" s="7" t="s">
        <v>44</v>
      </c>
      <c r="D22" s="10">
        <f>((D20^2)*PI())/4</f>
        <v>144.12445302911914</v>
      </c>
      <c r="E22" s="7" t="s">
        <v>45</v>
      </c>
      <c r="H22" s="7" t="s">
        <v>44</v>
      </c>
      <c r="I22" s="10">
        <f>((I20^2)*PI())/4</f>
        <v>225.19445785799866</v>
      </c>
      <c r="J22" s="7" t="s">
        <v>45</v>
      </c>
    </row>
    <row r="23" spans="1:10">
      <c r="C23" s="13" t="s">
        <v>50</v>
      </c>
      <c r="D23" s="13">
        <v>14800</v>
      </c>
      <c r="E23" s="13" t="s">
        <v>15</v>
      </c>
      <c r="H23" s="13" t="s">
        <v>50</v>
      </c>
      <c r="I23" s="13"/>
      <c r="J23" s="13" t="s">
        <v>15</v>
      </c>
    </row>
    <row r="24" spans="1:10">
      <c r="C24" s="7"/>
      <c r="D24" s="7"/>
      <c r="E24" s="7"/>
      <c r="H24" s="7"/>
      <c r="I24" s="7"/>
      <c r="J24" s="7"/>
    </row>
    <row r="25" spans="1:10">
      <c r="B25" s="4" t="s">
        <v>51</v>
      </c>
      <c r="C25" s="7"/>
      <c r="D25" s="7"/>
      <c r="E25" s="7"/>
      <c r="H25" s="7"/>
      <c r="I25" s="7"/>
      <c r="J25" s="7"/>
    </row>
    <row r="26" spans="1:10">
      <c r="B26" s="4" t="s">
        <v>52</v>
      </c>
      <c r="C26" s="7"/>
      <c r="D26" s="7"/>
      <c r="E26" s="7"/>
      <c r="H26" s="7"/>
      <c r="I26" s="7"/>
      <c r="J26" s="7"/>
    </row>
    <row r="27" spans="1:10">
      <c r="B27" s="7" t="s">
        <v>53</v>
      </c>
      <c r="C27" s="7"/>
      <c r="D27" s="7"/>
      <c r="E27" s="7"/>
      <c r="H27" s="7"/>
      <c r="I27" s="7"/>
      <c r="J27" s="7"/>
    </row>
    <row r="28" spans="1:10">
      <c r="B28" t="s">
        <v>54</v>
      </c>
      <c r="C28" s="7" t="s">
        <v>56</v>
      </c>
      <c r="D28" s="7">
        <v>10</v>
      </c>
      <c r="E28" s="7"/>
      <c r="H28" s="7" t="s">
        <v>56</v>
      </c>
      <c r="I28" s="7">
        <v>10</v>
      </c>
      <c r="J28" s="7"/>
    </row>
    <row r="29" spans="1:10">
      <c r="B29" t="s">
        <v>55</v>
      </c>
      <c r="C29" s="7" t="s">
        <v>57</v>
      </c>
      <c r="D29" s="7">
        <f>D19+0.5</f>
        <v>16.5</v>
      </c>
      <c r="E29" s="7"/>
      <c r="H29" s="7" t="s">
        <v>57</v>
      </c>
      <c r="I29" s="7">
        <f>I19+0.5</f>
        <v>20.5</v>
      </c>
      <c r="J29" s="7"/>
    </row>
    <row r="30" spans="1:10">
      <c r="A30" s="4" t="s">
        <v>10</v>
      </c>
      <c r="B30" t="s">
        <v>61</v>
      </c>
      <c r="C30" s="7" t="s">
        <v>58</v>
      </c>
      <c r="D30" s="7">
        <f>D28*D29</f>
        <v>165</v>
      </c>
      <c r="E30" s="7" t="s">
        <v>45</v>
      </c>
      <c r="H30" s="7" t="s">
        <v>58</v>
      </c>
      <c r="I30" s="7">
        <f>I28*I29</f>
        <v>205</v>
      </c>
      <c r="J30" s="7" t="s">
        <v>45</v>
      </c>
    </row>
    <row r="31" spans="1:10">
      <c r="A31" s="1" t="s">
        <v>6</v>
      </c>
      <c r="B31" t="s">
        <v>59</v>
      </c>
      <c r="C31" s="14" t="s">
        <v>60</v>
      </c>
      <c r="D31" s="7">
        <f>-D17/D30</f>
        <v>-127.27272727272727</v>
      </c>
      <c r="E31" s="7" t="s">
        <v>62</v>
      </c>
      <c r="H31" s="14" t="s">
        <v>60</v>
      </c>
      <c r="I31" s="7">
        <f>-I17/I30</f>
        <v>0</v>
      </c>
      <c r="J31" s="7" t="s">
        <v>62</v>
      </c>
    </row>
    <row r="32" spans="1:10">
      <c r="A32" s="1" t="s">
        <v>7</v>
      </c>
      <c r="B32" s="7" t="s">
        <v>63</v>
      </c>
      <c r="C32" s="7"/>
      <c r="D32" s="7"/>
      <c r="E32" s="7"/>
      <c r="H32" s="7"/>
      <c r="I32" s="7"/>
      <c r="J32" s="7"/>
    </row>
    <row r="33" spans="1:12">
      <c r="A33" s="1" t="s">
        <v>8</v>
      </c>
      <c r="B33" s="7" t="s">
        <v>64</v>
      </c>
      <c r="C33" s="7"/>
      <c r="D33" s="7"/>
      <c r="E33" s="7"/>
      <c r="H33" s="7"/>
      <c r="I33" s="7"/>
      <c r="J33" s="7"/>
    </row>
    <row r="34" spans="1:12">
      <c r="A34" s="1" t="s">
        <v>9</v>
      </c>
      <c r="B34" s="7" t="s">
        <v>65</v>
      </c>
      <c r="C34" s="7"/>
      <c r="D34" s="7"/>
      <c r="E34" s="7"/>
      <c r="H34" s="7"/>
      <c r="I34" s="7"/>
      <c r="J34" s="7"/>
    </row>
    <row r="35" spans="1:12">
      <c r="B35" s="7" t="s">
        <v>66</v>
      </c>
      <c r="C35" s="7" t="s">
        <v>67</v>
      </c>
      <c r="D35" s="10">
        <f>D6*D36</f>
        <v>5600000</v>
      </c>
      <c r="E35" s="7" t="s">
        <v>25</v>
      </c>
      <c r="H35" s="7" t="s">
        <v>67</v>
      </c>
      <c r="I35" s="10">
        <f>I6*I36</f>
        <v>5600000</v>
      </c>
      <c r="J35" s="7" t="s">
        <v>25</v>
      </c>
    </row>
    <row r="36" spans="1:12">
      <c r="B36" s="15" t="s">
        <v>68</v>
      </c>
      <c r="C36" s="7" t="s">
        <v>69</v>
      </c>
      <c r="D36" s="7">
        <f>300+50</f>
        <v>350</v>
      </c>
      <c r="E36" s="7" t="s">
        <v>70</v>
      </c>
      <c r="H36" s="7" t="s">
        <v>69</v>
      </c>
      <c r="I36" s="7">
        <f>300+50</f>
        <v>350</v>
      </c>
      <c r="J36" s="7" t="s">
        <v>70</v>
      </c>
    </row>
    <row r="37" spans="1:12">
      <c r="C37" s="7"/>
      <c r="D37" s="7"/>
      <c r="E37" s="7"/>
      <c r="H37" s="7"/>
      <c r="I37" s="7"/>
      <c r="J37" s="7"/>
    </row>
    <row r="38" spans="1:12">
      <c r="B38" s="7" t="s">
        <v>72</v>
      </c>
      <c r="C38" s="7" t="s">
        <v>80</v>
      </c>
      <c r="D38" s="10">
        <f>(D39*D40^3)/12</f>
        <v>10000000</v>
      </c>
      <c r="E38" s="7" t="s">
        <v>77</v>
      </c>
      <c r="F38">
        <f>D38/10000</f>
        <v>1000</v>
      </c>
      <c r="G38" t="s">
        <v>78</v>
      </c>
      <c r="H38" s="7" t="s">
        <v>80</v>
      </c>
      <c r="I38" s="10">
        <f>(I39*I40^3)/12</f>
        <v>10000000</v>
      </c>
      <c r="J38" s="7" t="s">
        <v>77</v>
      </c>
      <c r="K38">
        <f>I38/10000</f>
        <v>1000</v>
      </c>
      <c r="L38" t="s">
        <v>78</v>
      </c>
    </row>
    <row r="39" spans="1:12">
      <c r="B39" s="15" t="s">
        <v>73</v>
      </c>
      <c r="C39" s="7" t="s">
        <v>74</v>
      </c>
      <c r="D39" s="7">
        <v>15</v>
      </c>
      <c r="E39" s="7"/>
      <c r="H39" s="7" t="s">
        <v>74</v>
      </c>
      <c r="I39" s="7">
        <v>15</v>
      </c>
      <c r="J39" s="7"/>
    </row>
    <row r="40" spans="1:12">
      <c r="B40" s="15" t="s">
        <v>75</v>
      </c>
      <c r="C40" s="7" t="s">
        <v>76</v>
      </c>
      <c r="D40" s="7">
        <v>200</v>
      </c>
      <c r="E40" s="7"/>
      <c r="H40" s="7" t="s">
        <v>76</v>
      </c>
      <c r="I40" s="7">
        <v>200</v>
      </c>
      <c r="J40" s="7"/>
    </row>
    <row r="42" spans="1:12">
      <c r="B42" s="7" t="s">
        <v>79</v>
      </c>
      <c r="C42" s="7" t="s">
        <v>81</v>
      </c>
      <c r="D42" s="10">
        <f>(D43*D44^3)/12</f>
        <v>4640.625</v>
      </c>
      <c r="E42" s="7" t="s">
        <v>77</v>
      </c>
      <c r="F42">
        <f>D42/10000</f>
        <v>0.46406249999999999</v>
      </c>
      <c r="G42" t="s">
        <v>78</v>
      </c>
      <c r="H42" s="7" t="s">
        <v>81</v>
      </c>
      <c r="I42" s="10">
        <f>(I43*I44^3)/12</f>
        <v>5765.625</v>
      </c>
      <c r="J42" s="7" t="s">
        <v>77</v>
      </c>
      <c r="K42">
        <f>I42/10000</f>
        <v>0.57656249999999998</v>
      </c>
      <c r="L42" t="s">
        <v>78</v>
      </c>
    </row>
    <row r="43" spans="1:12">
      <c r="B43" s="15" t="s">
        <v>73</v>
      </c>
      <c r="C43" s="7" t="s">
        <v>74</v>
      </c>
      <c r="D43" s="7">
        <f>D29</f>
        <v>16.5</v>
      </c>
      <c r="E43" s="7" t="s">
        <v>70</v>
      </c>
      <c r="H43" s="7" t="s">
        <v>74</v>
      </c>
      <c r="I43" s="7">
        <f>I29</f>
        <v>20.5</v>
      </c>
      <c r="J43" s="7" t="s">
        <v>70</v>
      </c>
    </row>
    <row r="44" spans="1:12">
      <c r="B44" s="15" t="s">
        <v>75</v>
      </c>
      <c r="C44" s="7" t="s">
        <v>76</v>
      </c>
      <c r="D44" s="7">
        <f>D39</f>
        <v>15</v>
      </c>
      <c r="E44" s="7" t="s">
        <v>70</v>
      </c>
      <c r="H44" s="7" t="s">
        <v>76</v>
      </c>
      <c r="I44" s="7">
        <f>I39</f>
        <v>15</v>
      </c>
      <c r="J44" s="7" t="s">
        <v>70</v>
      </c>
    </row>
    <row r="45" spans="1:12">
      <c r="B45" s="15" t="s">
        <v>82</v>
      </c>
      <c r="C45" s="7" t="s">
        <v>21</v>
      </c>
      <c r="D45" s="7">
        <f>D9</f>
        <v>60</v>
      </c>
      <c r="E45" s="7" t="s">
        <v>70</v>
      </c>
      <c r="H45" s="7" t="s">
        <v>21</v>
      </c>
      <c r="I45" s="7">
        <f>I9</f>
        <v>68</v>
      </c>
      <c r="J45" s="7" t="s">
        <v>70</v>
      </c>
    </row>
    <row r="46" spans="1:12">
      <c r="D46" s="7"/>
      <c r="E46" s="7"/>
      <c r="I46" s="7"/>
      <c r="J46" s="7"/>
    </row>
    <row r="47" spans="1:12">
      <c r="B47" s="7" t="s">
        <v>83</v>
      </c>
      <c r="C47" s="7" t="s">
        <v>84</v>
      </c>
      <c r="D47" s="10">
        <f>D38-2*(D42+D45^2*D30)</f>
        <v>8802718.75</v>
      </c>
      <c r="E47" s="7" t="s">
        <v>77</v>
      </c>
      <c r="F47">
        <f>D47/10000</f>
        <v>880.27187500000002</v>
      </c>
      <c r="G47" t="s">
        <v>78</v>
      </c>
      <c r="H47" s="7" t="s">
        <v>84</v>
      </c>
      <c r="I47" s="10">
        <f>I38-2*(I42+I45^2*I30)</f>
        <v>8092628.75</v>
      </c>
      <c r="J47" s="7" t="s">
        <v>77</v>
      </c>
      <c r="K47">
        <f>I47/10000</f>
        <v>809.26287500000001</v>
      </c>
      <c r="L47" t="s">
        <v>78</v>
      </c>
    </row>
    <row r="48" spans="1:12">
      <c r="C48" s="7"/>
      <c r="D48" s="7"/>
      <c r="E48" s="7"/>
      <c r="H48" s="7"/>
      <c r="I48" s="7"/>
      <c r="J48" s="7"/>
    </row>
    <row r="49" spans="2:10">
      <c r="C49" s="7"/>
      <c r="D49" s="7"/>
      <c r="E49" s="7"/>
      <c r="H49" s="7"/>
      <c r="I49" s="7"/>
      <c r="J49" s="7"/>
    </row>
    <row r="50" spans="2:10">
      <c r="C50" s="14" t="s">
        <v>60</v>
      </c>
      <c r="D50" s="10">
        <f>(D35*D54)/D47</f>
        <v>63.616709326308985</v>
      </c>
      <c r="E50" s="7" t="s">
        <v>62</v>
      </c>
      <c r="H50" s="14" t="s">
        <v>60</v>
      </c>
      <c r="I50" s="10">
        <f>(I35*I54)/I47</f>
        <v>69.198775490596915</v>
      </c>
      <c r="J50" s="7" t="s">
        <v>62</v>
      </c>
    </row>
    <row r="51" spans="2:10">
      <c r="C51" s="7"/>
      <c r="D51" s="7"/>
      <c r="E51" s="7"/>
      <c r="H51" s="7"/>
      <c r="I51" s="7"/>
      <c r="J51" s="7"/>
    </row>
    <row r="52" spans="2:10" ht="38.25">
      <c r="B52" s="2" t="s">
        <v>85</v>
      </c>
      <c r="C52" s="7"/>
      <c r="D52" s="7"/>
      <c r="E52" s="7"/>
      <c r="H52" s="7"/>
      <c r="I52" s="7"/>
      <c r="J52" s="7"/>
    </row>
    <row r="53" spans="2:10">
      <c r="C53" s="7"/>
      <c r="D53" s="7"/>
      <c r="E53" s="7"/>
      <c r="H53" s="7"/>
      <c r="I53" s="7"/>
      <c r="J53" s="7"/>
    </row>
    <row r="54" spans="2:10">
      <c r="B54" t="s">
        <v>86</v>
      </c>
      <c r="C54" s="7" t="s">
        <v>96</v>
      </c>
      <c r="D54" s="7">
        <f>200/2</f>
        <v>100</v>
      </c>
      <c r="E54" s="7" t="s">
        <v>22</v>
      </c>
      <c r="H54" s="7" t="s">
        <v>96</v>
      </c>
      <c r="I54" s="7">
        <f>200/2</f>
        <v>100</v>
      </c>
      <c r="J54" s="7" t="s">
        <v>22</v>
      </c>
    </row>
    <row r="55" spans="2:10">
      <c r="C55" s="7"/>
      <c r="D55" s="7"/>
      <c r="E55" s="7"/>
      <c r="H55" s="7"/>
      <c r="I55" s="7"/>
      <c r="J55" s="7"/>
    </row>
    <row r="56" spans="2:10">
      <c r="B56" s="1" t="s">
        <v>87</v>
      </c>
      <c r="C56" s="7"/>
      <c r="D56" s="7"/>
      <c r="E56" s="7"/>
      <c r="H56" s="7"/>
      <c r="I56" s="7"/>
      <c r="J56" s="7"/>
    </row>
    <row r="57" spans="2:10">
      <c r="B57" t="s">
        <v>88</v>
      </c>
      <c r="C57" s="7"/>
      <c r="D57" s="7"/>
      <c r="E57" s="7"/>
      <c r="H57" s="7"/>
      <c r="I57" s="7"/>
      <c r="J57" s="7"/>
    </row>
    <row r="58" spans="2:10">
      <c r="B58" t="s">
        <v>89</v>
      </c>
      <c r="C58" s="7"/>
      <c r="D58" s="7"/>
      <c r="E58" s="7"/>
      <c r="H58" s="7"/>
      <c r="I58" s="7"/>
      <c r="J58" s="7"/>
    </row>
    <row r="59" spans="2:10">
      <c r="B59" t="s">
        <v>90</v>
      </c>
    </row>
    <row r="60" spans="2:10">
      <c r="B60" t="s">
        <v>91</v>
      </c>
    </row>
    <row r="61" spans="2:10">
      <c r="B61" t="s">
        <v>92</v>
      </c>
    </row>
    <row r="62" spans="2:10">
      <c r="B62" t="s">
        <v>93</v>
      </c>
    </row>
    <row r="63" spans="2:10">
      <c r="B63" t="s">
        <v>94</v>
      </c>
    </row>
    <row r="64" spans="2:10">
      <c r="B64" t="s">
        <v>95</v>
      </c>
    </row>
    <row r="67" spans="2:2">
      <c r="B67" s="5" t="s">
        <v>71</v>
      </c>
    </row>
  </sheetData>
  <mergeCells count="1">
    <mergeCell ref="H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SPECTRUM</dc:creator>
  <cp:lastModifiedBy>SPECTRUM</cp:lastModifiedBy>
  <dcterms:created xsi:type="dcterms:W3CDTF">2023-02-11T06:34:10Z</dcterms:created>
  <dcterms:modified xsi:type="dcterms:W3CDTF">2023-02-11T08:21:45Z</dcterms:modified>
</cp:coreProperties>
</file>